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1010C8A9-2569-4EDF-808D-DB00D51237B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مناقصات" sheetId="1" r:id="rId1"/>
    <sheet name="آمار فنی-مهندسی" sheetId="3" r:id="rId2"/>
    <sheet name="آمار عمرانی" sheetId="4" r:id="rId3"/>
    <sheet name="آمار خدمات" sheetId="6" r:id="rId4"/>
    <sheet name="خرید اقلام" sheetId="5" r:id="rId5"/>
    <sheet name="آمار کل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5" i="1" l="1" a="1"/>
  <c r="A25" i="1"/>
  <c r="A23" i="1" a="1"/>
  <c r="A23" i="1" s="1"/>
  <c r="A24" i="1" a="1"/>
  <c r="A24" i="1" s="1"/>
  <c r="A20" i="1" a="1"/>
  <c r="A20" i="1" s="1"/>
  <c r="A21" i="1" a="1"/>
  <c r="A21" i="1" s="1"/>
  <c r="A22" i="1" a="1"/>
  <c r="A22" i="1" s="1"/>
  <c r="A19" i="1" a="1"/>
  <c r="A19" i="1" s="1"/>
  <c r="A14" i="1" a="1"/>
  <c r="A14" i="1" s="1"/>
  <c r="A15" i="1" a="1"/>
  <c r="A15" i="1" s="1"/>
  <c r="A16" i="1" a="1"/>
  <c r="A16" i="1" s="1"/>
  <c r="A17" i="1" a="1"/>
  <c r="A17" i="1" s="1"/>
  <c r="A18" i="1" a="1"/>
  <c r="A18" i="1" s="1"/>
  <c r="A12" i="1" a="1"/>
  <c r="A12" i="1" s="1"/>
  <c r="A10" i="1" a="1"/>
  <c r="A10" i="1" s="1"/>
  <c r="A11" i="1" a="1"/>
  <c r="A11" i="1" s="1"/>
  <c r="A5" i="1" a="1"/>
  <c r="A5" i="1" s="1"/>
  <c r="A6" i="1" a="1"/>
  <c r="A6" i="1" s="1"/>
  <c r="A7" i="1" a="1"/>
  <c r="A7" i="1" s="1"/>
  <c r="A8" i="1" a="1"/>
  <c r="A8" i="1" s="1"/>
  <c r="A9" i="1" a="1"/>
  <c r="A9" i="1" s="1"/>
  <c r="C12" i="3"/>
  <c r="C8" i="4"/>
  <c r="B8" i="4" l="1"/>
  <c r="C11" i="3"/>
  <c r="B12" i="3"/>
  <c r="C10" i="4" l="1"/>
  <c r="C9" i="4"/>
  <c r="B10" i="4" l="1"/>
  <c r="B5" i="4"/>
  <c r="C10" i="3"/>
  <c r="B10" i="3"/>
  <c r="B6" i="4"/>
  <c r="C5" i="4"/>
  <c r="C6" i="4"/>
  <c r="B11" i="3"/>
  <c r="C7" i="4"/>
  <c r="B7" i="4"/>
  <c r="C9" i="3"/>
  <c r="B9" i="3"/>
  <c r="C4" i="4"/>
  <c r="C13" i="3"/>
  <c r="C12" i="4"/>
  <c r="B12" i="4"/>
  <c r="C11" i="4"/>
  <c r="C3" i="3"/>
  <c r="B3" i="3"/>
  <c r="B3" i="6"/>
  <c r="B4" i="6"/>
  <c r="B13" i="3"/>
  <c r="C6" i="6"/>
  <c r="B6" i="6"/>
  <c r="C5" i="6"/>
  <c r="B5" i="6"/>
  <c r="C4" i="6"/>
  <c r="C3" i="6"/>
  <c r="C3" i="4"/>
  <c r="B3" i="4"/>
  <c r="C3" i="5"/>
  <c r="C6" i="7" s="1"/>
  <c r="B3" i="5"/>
  <c r="B6" i="7" s="1"/>
  <c r="B4" i="4"/>
  <c r="C8" i="3"/>
  <c r="C7" i="3"/>
  <c r="C6" i="3"/>
  <c r="B6" i="3"/>
  <c r="B5" i="3"/>
  <c r="C5" i="3"/>
  <c r="C4" i="3"/>
  <c r="B8" i="3"/>
  <c r="B7" i="3"/>
  <c r="B11" i="4"/>
  <c r="B9" i="4"/>
  <c r="B4" i="3"/>
  <c r="B14" i="3" l="1"/>
  <c r="B3" i="7" s="1"/>
  <c r="C14" i="3"/>
  <c r="C3" i="7" s="1"/>
  <c r="B13" i="4"/>
  <c r="B4" i="7" s="1"/>
  <c r="C13" i="4"/>
  <c r="C4" i="7" s="1"/>
  <c r="B7" i="6"/>
  <c r="B5" i="7" s="1"/>
  <c r="C7" i="6"/>
  <c r="C5" i="7" s="1"/>
  <c r="C7" i="7" l="1"/>
  <c r="B7" i="7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<sst xmlns="http://schemas.openxmlformats.org/spreadsheetml/2006/main" count="277" uniqueCount="174">
  <si>
    <t>ردیف</t>
  </si>
  <si>
    <t>عنوان مناقصه</t>
  </si>
  <si>
    <t>شماره مرجع</t>
  </si>
  <si>
    <t>موضوع</t>
  </si>
  <si>
    <t>برگزارکننده در قزاقستان</t>
  </si>
  <si>
    <t>تامین‌کننده هزینه مناقصه</t>
  </si>
  <si>
    <t>تاریخ شروع</t>
  </si>
  <si>
    <t>تاریخ خاتمه</t>
  </si>
  <si>
    <t>اطلاعات تکمیلی</t>
  </si>
  <si>
    <t>آدرس رایانامه</t>
  </si>
  <si>
    <t>روش</t>
  </si>
  <si>
    <t>ارزش (به یورو)</t>
  </si>
  <si>
    <t>خرید اقلام</t>
  </si>
  <si>
    <t>تعداد</t>
  </si>
  <si>
    <t>فنی و مهندسی</t>
  </si>
  <si>
    <t>آمار</t>
  </si>
  <si>
    <t>تعداد و ارزش کل</t>
  </si>
  <si>
    <t>ارزش (یورو)</t>
  </si>
  <si>
    <t>رقابت با استفاده از سامانه امتیازدهی</t>
  </si>
  <si>
    <t>انبوه‌سازی مسکن</t>
  </si>
  <si>
    <t>خدمات حمل‌ونقل</t>
  </si>
  <si>
    <t>فنی-مهندسی برق</t>
  </si>
  <si>
    <t>فنی-مهندسی راه‌آهن</t>
  </si>
  <si>
    <t>ساخت ابنیه/ساختار غیرمسکونی</t>
  </si>
  <si>
    <t>تعمیرات ابنیه/ساختار غیرمسکونی</t>
  </si>
  <si>
    <t>گازرسانی</t>
  </si>
  <si>
    <t>فنی-مهندسی معدن</t>
  </si>
  <si>
    <t>خدمات کترینگ</t>
  </si>
  <si>
    <t>بازسازی ابنیه تاریخی</t>
  </si>
  <si>
    <t>فنی-مهندسی ارتباطات و فناوری اطلاعات</t>
  </si>
  <si>
    <t>فنی-مهندسی فضای سبز</t>
  </si>
  <si>
    <t>ساخت بزرگراه، خیابان و جاده</t>
  </si>
  <si>
    <t>تعمیرات بزرگراه، خیابان و جاده</t>
  </si>
  <si>
    <t>آمار مناقصات خرید اقلام</t>
  </si>
  <si>
    <t>آمار مناقصات عمرانی</t>
  </si>
  <si>
    <t>آمار مناقصات خدمات فنی-مهندسی</t>
  </si>
  <si>
    <t>فنی-مهندسی کشاورزی</t>
  </si>
  <si>
    <t xml:space="preserve">جمع کل </t>
  </si>
  <si>
    <t>آمار مناقصات خدمات</t>
  </si>
  <si>
    <t>جمع کل</t>
  </si>
  <si>
    <t>فنی مهندسی گرمایش و سرمایش</t>
  </si>
  <si>
    <t>خدمات نظافت خیابان و ساختمان</t>
  </si>
  <si>
    <t>خدمات شهری (روشنایی معابر)</t>
  </si>
  <si>
    <t>عمرانی</t>
  </si>
  <si>
    <t>خدمات</t>
  </si>
  <si>
    <t>فنی مهندسی هواپیمایی کشوری</t>
  </si>
  <si>
    <t>فنی-مهندسی نفت‌وگاز</t>
  </si>
  <si>
    <t>آب‌وآبفا</t>
  </si>
  <si>
    <t xml:space="preserve">منبع: </t>
  </si>
  <si>
    <t>https://goszakup.gov.kz/ru/search/announce</t>
  </si>
  <si>
    <t>https://zakup.sk.kz/</t>
  </si>
  <si>
    <t>صندوق ملی رفاه سامروک کازینا</t>
  </si>
  <si>
    <t>مناقصه</t>
  </si>
  <si>
    <t>nurlan.magzumov@kmg.kz</t>
  </si>
  <si>
    <t>رقابت باز</t>
  </si>
  <si>
    <t>amir.aliyev@qaj.kz</t>
  </si>
  <si>
    <t>دپارتمان تدارکات عمومی استان</t>
  </si>
  <si>
    <t>شرکت ملی راه‌آهن قزاقستان</t>
  </si>
  <si>
    <t>gz3901832@mail.ru</t>
  </si>
  <si>
    <t>شرکت «ShalkiyaZinc LTD»</t>
  </si>
  <si>
    <t>a.makhanova@zinc.kz</t>
  </si>
  <si>
    <t>Goszakup.krg@mail.ru</t>
  </si>
  <si>
    <t>kense.goszakup@pavlodar.gov.kz</t>
  </si>
  <si>
    <t>شرکت «Ozenmunaygaz»</t>
  </si>
  <si>
    <t>شرکت «KazTransOil»</t>
  </si>
  <si>
    <t>almoblgz@mail.ru</t>
  </si>
  <si>
    <t>دپارتمان دارایی‌های دولتی شهر آلماتی</t>
  </si>
  <si>
    <t>شرکت نفت «Ozenmunaygaz»</t>
  </si>
  <si>
    <t>برق‌رسانی</t>
  </si>
  <si>
    <t>dturasheva@semyzbay-u.kazatomprom.kz</t>
  </si>
  <si>
    <t>kuralay.sarmukhanbet@qaj.kz</t>
  </si>
  <si>
    <t>askarbek78@mail.ru</t>
  </si>
  <si>
    <t>دپارتمان توسعه فضاهای عمومی شهر آلماتی</t>
  </si>
  <si>
    <t>g.danjev@pnhz.kz</t>
  </si>
  <si>
    <t>تعمیرات ابنیه/ساختار مسکونی</t>
  </si>
  <si>
    <t>شهرداری ناحیه</t>
  </si>
  <si>
    <t>sadvakasov_abs@railways.kz</t>
  </si>
  <si>
    <t>شرکت سهامی "کارازانباسمونای"</t>
  </si>
  <si>
    <t>1404/05/15</t>
  </si>
  <si>
    <t>شرکت ملی "KazAvtoZhol"</t>
  </si>
  <si>
    <t>1404/05/17</t>
  </si>
  <si>
    <t>دپارتمان دارایی‌های دولتی شهر</t>
  </si>
  <si>
    <t>1404/05/20</t>
  </si>
  <si>
    <t>jaxylykova@kaztransoil.kz</t>
  </si>
  <si>
    <t>شرکت  "Karabatan Utility Solutions"</t>
  </si>
  <si>
    <t>فنی-مهندسی مکانیک</t>
  </si>
  <si>
    <t>ساخت زیرساخت شهرسازی</t>
  </si>
  <si>
    <t>شرکت "پالایشگاه نفت آتیرائو"</t>
  </si>
  <si>
    <t>1404/05/27</t>
  </si>
  <si>
    <t>سفارت جمهوری اسلامی ایران - آستانه</t>
  </si>
  <si>
    <t>1404/05/21</t>
  </si>
  <si>
    <t>1404/05/24</t>
  </si>
  <si>
    <t>1404/05/23</t>
  </si>
  <si>
    <t>1404/05/22</t>
  </si>
  <si>
    <t>شرکت "کاراگندی سو"</t>
  </si>
  <si>
    <t>دپارتمان دارایی و دارایی‌های دولتی شهر</t>
  </si>
  <si>
    <t>1404/05/28</t>
  </si>
  <si>
    <t>15205478-1</t>
  </si>
  <si>
    <t>15184145-2</t>
  </si>
  <si>
    <t>https://goszakup.gov.kz/ru/announce/index/15211175</t>
  </si>
  <si>
    <t>اداره ساخت و ساز استان آلماتی</t>
  </si>
  <si>
    <t>https://goszakup.gov.kz/ru/announce/index/15205478</t>
  </si>
  <si>
    <t>https://goszakup.gov.kz/ru/announce/index/15205470</t>
  </si>
  <si>
    <t>15205470-1</t>
  </si>
  <si>
    <t>15198534-1</t>
  </si>
  <si>
    <t>https://goszakup.gov.kz/ru/announce/index/15198534</t>
  </si>
  <si>
    <t>شرکت  "کارخانه پتروشیمی پاولودار"</t>
  </si>
  <si>
    <t>https://zakup.sk.kz/#/ext(popup:item/1137250/advert)?tabs=advert&amp;pfrom=1000000000&amp;adst=PUBLISHED&amp;lst=PUBLISHED&amp;sort=sumTruNoNds,desc&amp;page=1</t>
  </si>
  <si>
    <t>1404/06/03</t>
  </si>
  <si>
    <t>شرکت "Semizbay-U"</t>
  </si>
  <si>
    <t>https://zakup.sk.kz/#/ext(popup:item/1138193/advert)?tabs=advert&amp;pfrom=1000000000&amp;adst=PUBLISHED&amp;lst=PUBLISHED&amp;page=1</t>
  </si>
  <si>
    <t>خرید ۴۴٬۷۹۴ عدد میله برای پمپ میله‌ای اعماق</t>
  </si>
  <si>
    <t>https://zakup.sk.kz/#/ext(popup:item/1134566/advert)?tabs=advert&amp;pfrom=1000000000&amp;adst=PUBLISHED&amp;lst=PUBLISHED&amp;sort=sumTruNoNds,desc&amp;page=1</t>
  </si>
  <si>
    <t>شرکت "KTZ-FREIGHT TRANSPORTATION"</t>
  </si>
  <si>
    <t>https://zakup.sk.kz/#/ext(popup:item/1136597/advert)?tabs=advert&amp;pfrom=1000000000&amp;adst=PUBLISHED&amp;lst=PUBLISHED&amp;sort=sumTruNoNds,desc&amp;page=1</t>
  </si>
  <si>
    <t>Chazhabayev_a@railways.kz</t>
  </si>
  <si>
    <t>خرید ۳۰٬۴۰۰ عدد چرخ سنگ‌زنی الکتروکوروند با پیوند باکلیتی</t>
  </si>
  <si>
    <t>https://zakup.sk.kz/#/ext(popup:item/1134666/advert)?tabs=advert&amp;pfrom=1000000000&amp;adst=PUBLISHED&amp;lst=PUBLISHED&amp;sort=sumTruNoNds,desc&amp;page=2</t>
  </si>
  <si>
    <t>بازسازی بلوک‌های سازه‌های اصلی مراحل دوم و سوم مجتمع تصفیه آب شرکت "کاراگندی سو" در استان کاراگاندا</t>
  </si>
  <si>
    <t>تعمیرات اساسی دبیرستان ریسکولوف در روستای اوزینقاش استان آلماتی</t>
  </si>
  <si>
    <t>تعمیرات اساسی دبیرستان آئوزوف در روستای شملگان استان آلماتی</t>
  </si>
  <si>
    <t>طرح جامع نوسازی خیابان موسرپوف از موزه کاستیف به تئاتر  آئوزوف در الماتی</t>
  </si>
  <si>
    <t>نوسازی فنی کوره‌های واحدهای LK-6U و KT-1 کارخانه پتروشیمی</t>
  </si>
  <si>
    <t xml:space="preserve">تعمیر/نوسازی تجهیزات پمپاژ معدن ایرکول، معدن سمیزبای </t>
  </si>
  <si>
    <t>خرید مقادیر معتنابهی روغن موتور دیزل معدنی چهارفصل</t>
  </si>
  <si>
    <t>15219890-1</t>
  </si>
  <si>
    <t>https://goszakup.gov.kz/ru/announce/index/15219890</t>
  </si>
  <si>
    <t>15217134-1</t>
  </si>
  <si>
    <t>https://goszakup.gov.kz/ru/announce/index/15217134</t>
  </si>
  <si>
    <t>1404/05/31</t>
  </si>
  <si>
    <t>اداره تراموا پاولودار به نام  د.د. مخمودوف</t>
  </si>
  <si>
    <t>خرید ۱۰ دستگاه بدنه واگن تراموا (کامل‌سازی درجه یک)</t>
  </si>
  <si>
    <t>15190251-1</t>
  </si>
  <si>
    <t>https://goszakup.gov.kz/ru/announce/index/15190251</t>
  </si>
  <si>
    <t>ساخت شبکه‌های آبرسانی و فاضلاب، ایستگاه پمپاژ فاضلاب روستای ترکتی، ناحیه آلتائو، آلماتی</t>
  </si>
  <si>
    <t>https://goszakup.gov.kz/ru/announce/index/15182730</t>
  </si>
  <si>
    <t>15182730-1</t>
  </si>
  <si>
    <t>15181672-1</t>
  </si>
  <si>
    <t>تعمیرات اساسی روگذر با خروجی‌های راست و چپ، کیلومتر ۷۵۶ بزرگراه خورگوس-آلماتی-تاراز-چیمکنت-تاشکند، استان ترکستان</t>
  </si>
  <si>
    <t>1404/06/02</t>
  </si>
  <si>
    <t>https://goszakup.gov.kz/ru/announce/index/15181672</t>
  </si>
  <si>
    <t>https://zakup.sk.kz/#/ext(popup:item/1136165/advert)?tabs=advert&amp;pfrom=100000000&amp;adst=PUBLISHED&amp;lst=PUBLISHED&amp;sort=sumTruNoNds,desc&amp;page=2</t>
  </si>
  <si>
    <t>az.utepkalieva@anpz.kmg.kz</t>
  </si>
  <si>
    <t> 1137736</t>
  </si>
  <si>
    <t>https://zakup.sk.kz/#/ext(popup:item/1137736/advert)?tabs=advert&amp;pfrom=100000000&amp;adst=PUBLISHED&amp;lst=PUBLISHED&amp;sort=sumTruNoNds,desc&amp;page=2</t>
  </si>
  <si>
    <t>ساخت کارخانه تغلیظ و تاسیسات باطله معدنی برای شرکت شالکیا‌زینک</t>
  </si>
  <si>
    <t>خدمات بازسازی کاتالیزورهای صنعت نفت در استان آتیرائو</t>
  </si>
  <si>
    <t>تعمیر متوسط جاده سراسری KAZ04 "آستانه-شیدرتی-پاولودار-اوسپنکا-روسیه (22.576 کیلومتر)</t>
  </si>
  <si>
    <t>تعمیر متوسط جاده سراسری KAZ16 "کوکشتاو - کیشکنکول - بیدایک - مرز فدراسیون روسیه، کیلومتر 50-85 استان قزاقستان شمالی</t>
  </si>
  <si>
    <t>23 مرداد</t>
  </si>
  <si>
    <t xml:space="preserve">شرکت ملی راه </t>
  </si>
  <si>
    <t>خرید ۵۷۱۲۸ عدد لوله پلیمری انعطاف‌پذیر تقویت‌شده در شهر ژاناوزن</t>
  </si>
  <si>
    <t>1404/06/04</t>
  </si>
  <si>
    <t>https://zakup.sk.kz/#/ext(popup:item/1136914/advert)?tabs=advert&amp;pfrom=1000000000&amp;adst=PUBLISHED&amp;lst=PUBLISHED&amp;sort=sumTruNoNds,desc&amp;page=1</t>
  </si>
  <si>
    <t>n.isabergenov@omg.kmg.kz</t>
  </si>
  <si>
    <t>خدمات ایمنی آتش نشانی در ناحیه توپکاراگان، استان مانگیستائو</t>
  </si>
  <si>
    <t>https://zakup.sk.kz/#/ext(popup:item/1137947/advert)?tabs=advert&amp;pfrom=1000000000&amp;adst=PUBLISHED&amp;lst=PUBLISHED&amp;sort=sumTruNoNds,desc&amp;page=1</t>
  </si>
  <si>
    <t>R_JUMANIYAZOV@KBM.KZ</t>
  </si>
  <si>
    <t>کاهش انتشار آلاینده‌ها در سکوهای شماره ۱ و ۲، ایستگاه انتقال نفت «آکتائو»، استان مانگیستائو</t>
  </si>
  <si>
    <t>https://zakup.sk.kz/#/ext(popup:item/1140122/advert)?tabs=advert&amp;pfrom=1000000000&amp;adst=PUBLISHED&amp;lst=PUBLISHED&amp;sort=sumTruNoNds,desc&amp;page=2</t>
  </si>
  <si>
    <t>تعمیرات اساسی ساختمان‌ اداری-خدماتی در ایستگاه اکیباستوز-۱</t>
  </si>
  <si>
    <t>Baraisova_G@Railways.kz</t>
  </si>
  <si>
    <t>https://zakup.sk.kz/#/ext(popup:item/1139142/advert)?tabs=advert&amp;pfrom=100000000&amp;adst=PUBLISHED&amp;lst=PUBLISHED&amp;sort=sumTruNoNds,desc&amp;page=3</t>
  </si>
  <si>
    <t>بازسازی سیستم‌های جمع‌آوری فاضلاب و نوسازی چاه‌ها</t>
  </si>
  <si>
    <t>https://zakup.sk.kz/#/ext(popup:item/1137771/advert)?tabs=advert&amp;pfrom=100000000&amp;adst=PUBLISHED&amp;lst=PUBLISHED&amp;sort=sumTruNoNds,desc&amp;page=3</t>
  </si>
  <si>
    <t>erman@kus.com.kz</t>
  </si>
  <si>
    <t>تعمیرات اساسی ساختمان "بیمارستان چند رشته‌ای شهری استپنوگورسک" (بلوک‌های "B" و "V") در استپنوگورسک</t>
  </si>
  <si>
    <t>15225184-1</t>
  </si>
  <si>
    <t>بیمارستان چند رشته‌ای شهری استپنوگورسک تحت نظارت اداره بهداشت استان آکمولا</t>
  </si>
  <si>
    <t>1404/06/30</t>
  </si>
  <si>
    <t>https://goszakup.gov.kz/ru/announce/index/15225184</t>
  </si>
  <si>
    <t>دپارتمان تدارکات عمومی و املاک شهرداری استان آکمولا</t>
  </si>
  <si>
    <t>تهیه: سیدمحمد حسینی، کارشناس اقتصادی - 1404/05/24</t>
  </si>
  <si>
    <t>فهرست تعدادی از مناقصات جمهوری قزاقستان (شماره 4 مرداد 1404)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</si>
</sst>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4"/>
      <color theme="1"/>
      <name val="B Nazanin"/>
      <charset val="178"/>
    </font>
    <font>
      <b/>
      <sz val="11"/>
      <color theme="1"/>
      <name val="B Nazanin"/>
      <charset val="178"/>
    </font>
    <font>
      <b/>
      <sz val="14"/>
      <name val="B Nazanin"/>
      <charset val="178"/>
    </font>
    <font>
      <sz val="11"/>
      <name val="B Nazanin"/>
      <charset val="178"/>
    </font>
    <font>
      <sz val="8"/>
      <name val="Calibri"/>
      <family val="2"/>
      <scheme val="minor"/>
    </font>
    <font>
      <b/>
      <sz val="11"/>
      <name val="B Nazanin"/>
      <charset val="17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B Nazanin"/>
      <charset val="178"/>
    </font>
    <font>
      <b/>
      <sz val="18"/>
      <color theme="1"/>
      <name val="B Titr"/>
      <charset val="178"/>
    </font>
    <font>
      <sz val="16"/>
      <color theme="1"/>
      <name val="B Titr"/>
      <charset val="178"/>
    </font>
    <font>
      <b/>
      <sz val="14"/>
      <color theme="1"/>
      <name val="B Titr"/>
      <charset val="178"/>
    </font>
    <font>
      <sz val="11"/>
      <name val="Calibri"/>
      <family val="2"/>
      <scheme val="minor"/>
    </font>
    <font>
      <b/>
      <sz val="10"/>
      <color rgb="FF5F5F5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5" fillId="0" borderId="4" xfId="2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2" xfId="2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6" fillId="0" borderId="0" xfId="0" applyFont="1"/>
    <xf numFmtId="0" fontId="1" fillId="0" borderId="1" xfId="0" applyFont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readingOrder="2"/>
    </xf>
    <xf numFmtId="0" fontId="14" fillId="2" borderId="2" xfId="0" applyFont="1" applyFill="1" applyBorder="1" applyAlignment="1">
      <alignment horizontal="center" vertical="center" readingOrder="2"/>
    </xf>
    <xf numFmtId="0" fontId="1" fillId="2" borderId="0" xfId="0" applyFont="1" applyFill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234603</xdr:colOff>
      <xdr:row>0</xdr:row>
      <xdr:rowOff>40662</xdr:rowOff>
    </xdr:from>
    <xdr:to>
      <xdr:col>5</xdr:col>
      <xdr:colOff>923365</xdr:colOff>
      <xdr:row>1</xdr:row>
      <xdr:rowOff>97357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36364817" y="40662"/>
          <a:ext cx="688762" cy="51707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-94586425</xdr:colOff>
          <xdr:row>2</xdr:row>
          <xdr:rowOff>298450</xdr:rowOff>
        </xdr:from>
        <xdr:to>
          <xdr:col>0</xdr:col>
          <xdr:colOff>-94462600</xdr:colOff>
          <xdr:row>3</xdr:row>
          <xdr:rowOff>130175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-94586425</xdr:colOff>
          <xdr:row>2</xdr:row>
          <xdr:rowOff>298450</xdr:rowOff>
        </xdr:from>
        <xdr:to>
          <xdr:col>0</xdr:col>
          <xdr:colOff>-94462600</xdr:colOff>
          <xdr:row>3</xdr:row>
          <xdr:rowOff>130175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2.xml"/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zakup.sk.kz/" TargetMode="External"/><Relationship Id="rId1" Type="http://schemas.openxmlformats.org/officeDocument/2006/relationships/hyperlink" Target="https://goszakup.gov.kz/ru/search/announce" TargetMode="External"/><Relationship Id="rId6" Type="http://schemas.openxmlformats.org/officeDocument/2006/relationships/control" Target="../activeX/activeX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Relationship Id="rId9" Type="http://schemas.openxmlformats.org/officeDocument/2006/relationships/image" Target="../media/image2.emf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9"/>
  <sheetViews>
    <sheetView rightToLeft="1" tabSelected="1" zoomScale="60" zoomScaleNormal="60" workbookViewId="0">
      <pane ySplit="3" topLeftCell="A4" activePane="bottomLeft" state="frozen"/>
      <selection pane="bottomLeft" activeCell="E10" sqref="E10"/>
    </sheetView>
  </sheetViews>
  <sheetFormatPr defaultRowHeight="19.5" x14ac:dyDescent="0.25"/>
  <cols>
    <col min="1" max="1" width="6.42578125" style="3" bestFit="1" customWidth="1"/>
    <col min="2" max="2" width="99.7109375" style="38" bestFit="1" customWidth="1"/>
    <col min="3" max="3" width="29.42578125" style="1" bestFit="1" customWidth="1"/>
    <col min="4" max="4" width="12.5703125" style="6" bestFit="1" customWidth="1"/>
    <col min="5" max="5" width="38.85546875" style="1" bestFit="1" customWidth="1"/>
    <col min="6" max="6" width="40.85546875" style="1" bestFit="1" customWidth="1"/>
    <col min="7" max="7" width="15.140625" style="4" bestFit="1" customWidth="1"/>
    <col min="8" max="8" width="12.28515625" style="1" bestFit="1" customWidth="1"/>
    <col min="9" max="9" width="12.140625" style="1" bestFit="1" customWidth="1"/>
    <col min="10" max="10" width="51.5703125" style="5" bestFit="1" customWidth="1"/>
    <col min="11" max="11" width="46.42578125" style="1" bestFit="1" customWidth="1"/>
    <col min="12" max="12" width="25.85546875" style="1" bestFit="1" customWidth="1"/>
    <col min="13" max="16384" width="9.140625" style="1"/>
  </cols>
  <sheetData>
    <row r="1" spans="1:12" ht="36" x14ac:dyDescent="0.25">
      <c r="A1" s="50" t="s">
        <v>89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s="23" customFormat="1" ht="32.25" x14ac:dyDescent="0.25">
      <c r="A2" s="49" t="s">
        <v>173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s="2" customFormat="1" ht="24" x14ac:dyDescent="0.25">
      <c r="A3" s="7" t="s">
        <v>0</v>
      </c>
      <c r="B3" s="36" t="s">
        <v>1</v>
      </c>
      <c r="C3" s="7" t="s">
        <v>3</v>
      </c>
      <c r="D3" s="8" t="s">
        <v>2</v>
      </c>
      <c r="E3" s="7" t="s">
        <v>4</v>
      </c>
      <c r="F3" s="7" t="s">
        <v>5</v>
      </c>
      <c r="G3" s="9" t="s">
        <v>11</v>
      </c>
      <c r="H3" s="7" t="s">
        <v>6</v>
      </c>
      <c r="I3" s="7" t="s">
        <v>7</v>
      </c>
      <c r="J3" s="10" t="s">
        <v>8</v>
      </c>
      <c r="K3" s="7" t="s">
        <v>9</v>
      </c>
      <c r="L3" s="7" t="s">
        <v>10</v>
      </c>
    </row>
    <row r="4" spans="1:12" s="5" customFormat="1" ht="18" x14ac:dyDescent="0.25">
      <c r="A4" s="29">
        <v>1</v>
      </c>
      <c r="B4" s="39" t="s">
        <v>118</v>
      </c>
      <c r="C4" s="29" t="s">
        <v>47</v>
      </c>
      <c r="D4" s="29" t="s">
        <v>98</v>
      </c>
      <c r="E4" s="29" t="s">
        <v>95</v>
      </c>
      <c r="F4" s="40" t="s">
        <v>94</v>
      </c>
      <c r="G4" s="41">
        <v>20944700</v>
      </c>
      <c r="H4" s="14" t="s">
        <v>90</v>
      </c>
      <c r="I4" s="14" t="s">
        <v>91</v>
      </c>
      <c r="J4" s="14" t="s">
        <v>99</v>
      </c>
      <c r="K4" s="42" t="s">
        <v>61</v>
      </c>
      <c r="L4" s="29" t="s">
        <v>54</v>
      </c>
    </row>
    <row r="5" spans="1:12" s="5" customFormat="1" ht="18" x14ac:dyDescent="0.25">
      <c r="A5" s="29" cm="1">
        <f t="array" ref="A5">ROW(A5:A5)-3</f>
        <v>2</v>
      </c>
      <c r="B5" s="39" t="s">
        <v>119</v>
      </c>
      <c r="C5" s="30" t="s">
        <v>24</v>
      </c>
      <c r="D5" s="29" t="s">
        <v>97</v>
      </c>
      <c r="E5" s="14" t="s">
        <v>56</v>
      </c>
      <c r="F5" s="29" t="s">
        <v>100</v>
      </c>
      <c r="G5" s="41">
        <v>2118900</v>
      </c>
      <c r="H5" s="14" t="s">
        <v>82</v>
      </c>
      <c r="I5" s="14" t="s">
        <v>96</v>
      </c>
      <c r="J5" s="14" t="s">
        <v>101</v>
      </c>
      <c r="K5" s="14" t="s">
        <v>65</v>
      </c>
      <c r="L5" s="29" t="s">
        <v>18</v>
      </c>
    </row>
    <row r="6" spans="1:12" s="5" customFormat="1" ht="18" x14ac:dyDescent="0.25">
      <c r="A6" s="29" cm="1">
        <f t="array" ref="A6">ROW(A6:A6)-3</f>
        <v>3</v>
      </c>
      <c r="B6" s="39" t="s">
        <v>120</v>
      </c>
      <c r="C6" s="30" t="s">
        <v>24</v>
      </c>
      <c r="D6" s="29" t="s">
        <v>103</v>
      </c>
      <c r="E6" s="14" t="s">
        <v>56</v>
      </c>
      <c r="F6" s="29" t="s">
        <v>100</v>
      </c>
      <c r="G6" s="41">
        <v>1962100</v>
      </c>
      <c r="H6" s="14" t="s">
        <v>82</v>
      </c>
      <c r="I6" s="14" t="s">
        <v>96</v>
      </c>
      <c r="J6" s="14" t="s">
        <v>102</v>
      </c>
      <c r="K6" s="14" t="s">
        <v>65</v>
      </c>
      <c r="L6" s="29" t="s">
        <v>18</v>
      </c>
    </row>
    <row r="7" spans="1:12" s="5" customFormat="1" ht="18" x14ac:dyDescent="0.25">
      <c r="A7" s="29" cm="1">
        <f t="array" ref="A7">ROW(A7:A7)-3</f>
        <v>4</v>
      </c>
      <c r="B7" s="39" t="s">
        <v>121</v>
      </c>
      <c r="C7" s="29" t="s">
        <v>32</v>
      </c>
      <c r="D7" s="29" t="s">
        <v>104</v>
      </c>
      <c r="E7" s="29" t="s">
        <v>81</v>
      </c>
      <c r="F7" s="14" t="s">
        <v>72</v>
      </c>
      <c r="G7" s="41">
        <v>1815840</v>
      </c>
      <c r="H7" s="14" t="s">
        <v>90</v>
      </c>
      <c r="I7" s="14" t="s">
        <v>91</v>
      </c>
      <c r="J7" s="14" t="s">
        <v>105</v>
      </c>
      <c r="K7" s="43" t="s">
        <v>58</v>
      </c>
      <c r="L7" s="29" t="s">
        <v>18</v>
      </c>
    </row>
    <row r="8" spans="1:12" s="5" customFormat="1" ht="54" x14ac:dyDescent="0.25">
      <c r="A8" s="29" cm="1">
        <f t="array" ref="A8">ROW(A8:A8)-3</f>
        <v>5</v>
      </c>
      <c r="B8" s="39" t="s">
        <v>122</v>
      </c>
      <c r="C8" s="29" t="s">
        <v>46</v>
      </c>
      <c r="D8" s="29">
        <v>1137250</v>
      </c>
      <c r="E8" s="29" t="s">
        <v>51</v>
      </c>
      <c r="F8" s="29" t="s">
        <v>106</v>
      </c>
      <c r="G8" s="41">
        <v>29140732</v>
      </c>
      <c r="H8" s="14" t="s">
        <v>93</v>
      </c>
      <c r="I8" s="14" t="s">
        <v>108</v>
      </c>
      <c r="J8" s="14" t="s">
        <v>107</v>
      </c>
      <c r="K8" s="14" t="s">
        <v>73</v>
      </c>
      <c r="L8" s="29" t="s">
        <v>52</v>
      </c>
    </row>
    <row r="9" spans="1:12" s="5" customFormat="1" ht="54" x14ac:dyDescent="0.25">
      <c r="A9" s="29" cm="1">
        <f t="array" ref="A9">ROW(A9:A9)-3</f>
        <v>6</v>
      </c>
      <c r="B9" s="39" t="s">
        <v>123</v>
      </c>
      <c r="C9" s="29" t="s">
        <v>26</v>
      </c>
      <c r="D9" s="29">
        <v>1138193</v>
      </c>
      <c r="E9" s="29" t="s">
        <v>51</v>
      </c>
      <c r="F9" s="29" t="s">
        <v>109</v>
      </c>
      <c r="G9" s="41">
        <v>2452785</v>
      </c>
      <c r="H9" s="14" t="s">
        <v>93</v>
      </c>
      <c r="I9" s="14" t="s">
        <v>108</v>
      </c>
      <c r="J9" s="14" t="s">
        <v>110</v>
      </c>
      <c r="K9" s="14" t="s">
        <v>69</v>
      </c>
      <c r="L9" s="29" t="s">
        <v>52</v>
      </c>
    </row>
    <row r="10" spans="1:12" s="5" customFormat="1" ht="54" x14ac:dyDescent="0.25">
      <c r="A10" s="29" cm="1">
        <f t="array" ref="A10">ROW(A10:A10)-3</f>
        <v>7</v>
      </c>
      <c r="B10" s="39" t="s">
        <v>111</v>
      </c>
      <c r="C10" s="29" t="s">
        <v>12</v>
      </c>
      <c r="D10" s="29">
        <v>1134566</v>
      </c>
      <c r="E10" s="14" t="s">
        <v>51</v>
      </c>
      <c r="F10" s="29" t="s">
        <v>67</v>
      </c>
      <c r="G10" s="41">
        <v>3066507</v>
      </c>
      <c r="H10" s="14" t="s">
        <v>82</v>
      </c>
      <c r="I10" s="14" t="s">
        <v>93</v>
      </c>
      <c r="J10" s="14" t="s">
        <v>112</v>
      </c>
      <c r="K10" s="14" t="s">
        <v>53</v>
      </c>
      <c r="L10" s="29" t="s">
        <v>52</v>
      </c>
    </row>
    <row r="11" spans="1:12" s="5" customFormat="1" ht="54" x14ac:dyDescent="0.25">
      <c r="A11" s="29" cm="1">
        <f t="array" ref="A11">ROW(A11:A11)-3</f>
        <v>8</v>
      </c>
      <c r="B11" s="39" t="s">
        <v>124</v>
      </c>
      <c r="C11" s="29" t="s">
        <v>12</v>
      </c>
      <c r="D11" s="29">
        <v>1136597</v>
      </c>
      <c r="E11" s="14" t="s">
        <v>51</v>
      </c>
      <c r="F11" s="29" t="s">
        <v>113</v>
      </c>
      <c r="G11" s="41">
        <v>2523945</v>
      </c>
      <c r="H11" s="14" t="s">
        <v>80</v>
      </c>
      <c r="I11" s="14" t="s">
        <v>96</v>
      </c>
      <c r="J11" s="14" t="s">
        <v>114</v>
      </c>
      <c r="K11" s="14" t="s">
        <v>115</v>
      </c>
      <c r="L11" s="29" t="s">
        <v>52</v>
      </c>
    </row>
    <row r="12" spans="1:12" s="5" customFormat="1" ht="54" x14ac:dyDescent="0.25">
      <c r="A12" s="29" cm="1">
        <f t="array" ref="A12">ROW(A12:A12)-3</f>
        <v>9</v>
      </c>
      <c r="B12" s="39" t="s">
        <v>116</v>
      </c>
      <c r="C12" s="29" t="s">
        <v>12</v>
      </c>
      <c r="D12" s="29">
        <v>1134666</v>
      </c>
      <c r="E12" s="14" t="s">
        <v>51</v>
      </c>
      <c r="F12" s="29" t="s">
        <v>57</v>
      </c>
      <c r="G12" s="41">
        <v>2121602</v>
      </c>
      <c r="H12" s="14" t="s">
        <v>80</v>
      </c>
      <c r="I12" s="14" t="s">
        <v>96</v>
      </c>
      <c r="J12" s="14" t="s">
        <v>117</v>
      </c>
      <c r="K12" s="14" t="s">
        <v>76</v>
      </c>
      <c r="L12" s="29" t="s">
        <v>52</v>
      </c>
    </row>
    <row r="13" spans="1:12" ht="18" x14ac:dyDescent="0.25">
      <c r="A13" s="29" t="s">
        <v>149</v>
      </c>
      <c r="B13" s="44" t="s">
        <v>148</v>
      </c>
      <c r="C13" s="11" t="s">
        <v>32</v>
      </c>
      <c r="D13" s="11" t="s">
        <v>125</v>
      </c>
      <c r="E13" s="33" t="s">
        <v>79</v>
      </c>
      <c r="F13" s="33" t="s">
        <v>79</v>
      </c>
      <c r="G13" s="34">
        <v>6197872</v>
      </c>
      <c r="H13" s="33" t="s">
        <v>92</v>
      </c>
      <c r="I13" s="33" t="s">
        <v>96</v>
      </c>
      <c r="J13" s="33" t="s">
        <v>126</v>
      </c>
      <c r="K13" s="33" t="s">
        <v>70</v>
      </c>
      <c r="L13" s="11" t="s">
        <v>52</v>
      </c>
    </row>
    <row r="14" spans="1:12" ht="18" x14ac:dyDescent="0.25">
      <c r="A14" s="29" cm="1">
        <f t="array" ref="A14">ROW(A14:A14)-3</f>
        <v>11</v>
      </c>
      <c r="B14" s="45" t="s">
        <v>131</v>
      </c>
      <c r="C14" s="11" t="s">
        <v>12</v>
      </c>
      <c r="D14" s="11" t="s">
        <v>127</v>
      </c>
      <c r="E14" s="33" t="s">
        <v>56</v>
      </c>
      <c r="F14" s="11" t="s">
        <v>130</v>
      </c>
      <c r="G14" s="34">
        <v>3158660</v>
      </c>
      <c r="H14" s="33" t="s">
        <v>93</v>
      </c>
      <c r="I14" s="33" t="s">
        <v>129</v>
      </c>
      <c r="J14" s="33" t="s">
        <v>128</v>
      </c>
      <c r="K14" s="46" t="s">
        <v>62</v>
      </c>
      <c r="L14" s="11" t="s">
        <v>54</v>
      </c>
    </row>
    <row r="15" spans="1:12" ht="18" x14ac:dyDescent="0.25">
      <c r="A15" s="29" cm="1">
        <f t="array" ref="A15">ROW(A15:A15)-3</f>
        <v>12</v>
      </c>
      <c r="B15" s="45" t="s">
        <v>134</v>
      </c>
      <c r="C15" s="11" t="s">
        <v>47</v>
      </c>
      <c r="D15" s="11" t="s">
        <v>132</v>
      </c>
      <c r="E15" s="33" t="s">
        <v>66</v>
      </c>
      <c r="F15" s="12" t="s">
        <v>75</v>
      </c>
      <c r="G15" s="34">
        <v>14977420</v>
      </c>
      <c r="H15" s="33" t="s">
        <v>92</v>
      </c>
      <c r="I15" s="33" t="s">
        <v>88</v>
      </c>
      <c r="J15" s="33" t="s">
        <v>133</v>
      </c>
      <c r="K15" s="47" t="s">
        <v>58</v>
      </c>
      <c r="L15" s="11" t="s">
        <v>18</v>
      </c>
    </row>
    <row r="16" spans="1:12" ht="18" x14ac:dyDescent="0.25">
      <c r="A16" s="29" cm="1">
        <f t="array" ref="A16">ROW(A16:A16)-3</f>
        <v>13</v>
      </c>
      <c r="B16" s="44" t="s">
        <v>147</v>
      </c>
      <c r="C16" s="11" t="s">
        <v>32</v>
      </c>
      <c r="D16" s="11" t="s">
        <v>136</v>
      </c>
      <c r="E16" s="33" t="s">
        <v>150</v>
      </c>
      <c r="F16" s="33" t="s">
        <v>150</v>
      </c>
      <c r="G16" s="34">
        <v>12586570</v>
      </c>
      <c r="H16" s="33" t="s">
        <v>78</v>
      </c>
      <c r="I16" s="33" t="s">
        <v>92</v>
      </c>
      <c r="J16" s="33" t="s">
        <v>135</v>
      </c>
      <c r="K16" s="46" t="s">
        <v>55</v>
      </c>
      <c r="L16" s="11" t="s">
        <v>52</v>
      </c>
    </row>
    <row r="17" spans="1:12" ht="18" x14ac:dyDescent="0.25">
      <c r="A17" s="11" cm="1">
        <f t="array" ref="A17">ROW(A17:A17)-3</f>
        <v>14</v>
      </c>
      <c r="B17" s="45" t="s">
        <v>138</v>
      </c>
      <c r="C17" s="11" t="s">
        <v>32</v>
      </c>
      <c r="D17" s="11" t="s">
        <v>137</v>
      </c>
      <c r="E17" s="33" t="s">
        <v>150</v>
      </c>
      <c r="F17" s="33" t="s">
        <v>150</v>
      </c>
      <c r="G17" s="34">
        <v>1579609</v>
      </c>
      <c r="H17" s="33" t="s">
        <v>80</v>
      </c>
      <c r="I17" s="33" t="s">
        <v>139</v>
      </c>
      <c r="J17" s="33" t="s">
        <v>140</v>
      </c>
      <c r="K17" s="46" t="s">
        <v>70</v>
      </c>
      <c r="L17" s="46" t="s">
        <v>52</v>
      </c>
    </row>
    <row r="18" spans="1:12" ht="54" x14ac:dyDescent="0.25">
      <c r="A18" s="11" cm="1">
        <f t="array" ref="A18">ROW(A18:A18)-3</f>
        <v>15</v>
      </c>
      <c r="B18" s="45" t="s">
        <v>146</v>
      </c>
      <c r="C18" s="11" t="s">
        <v>46</v>
      </c>
      <c r="D18" s="11">
        <v>1136165</v>
      </c>
      <c r="E18" s="33" t="s">
        <v>51</v>
      </c>
      <c r="F18" s="11" t="s">
        <v>87</v>
      </c>
      <c r="G18" s="34">
        <v>1474264</v>
      </c>
      <c r="H18" s="33" t="s">
        <v>82</v>
      </c>
      <c r="I18" s="33" t="s">
        <v>129</v>
      </c>
      <c r="J18" s="33" t="s">
        <v>141</v>
      </c>
      <c r="K18" s="33" t="s">
        <v>142</v>
      </c>
      <c r="L18" s="11" t="s">
        <v>52</v>
      </c>
    </row>
    <row r="19" spans="1:12" ht="54" x14ac:dyDescent="0.25">
      <c r="A19" s="11" cm="1">
        <f t="array" ref="A19">ROW(A19:A19)-3</f>
        <v>16</v>
      </c>
      <c r="B19" s="45" t="s">
        <v>145</v>
      </c>
      <c r="C19" s="11" t="s">
        <v>26</v>
      </c>
      <c r="D19" s="11" t="s">
        <v>143</v>
      </c>
      <c r="E19" s="33" t="s">
        <v>51</v>
      </c>
      <c r="F19" s="11" t="s">
        <v>59</v>
      </c>
      <c r="G19" s="34">
        <v>1319441</v>
      </c>
      <c r="H19" s="33" t="s">
        <v>82</v>
      </c>
      <c r="I19" s="33" t="s">
        <v>129</v>
      </c>
      <c r="J19" s="33" t="s">
        <v>144</v>
      </c>
      <c r="K19" s="33" t="s">
        <v>60</v>
      </c>
      <c r="L19" s="11" t="s">
        <v>52</v>
      </c>
    </row>
    <row r="20" spans="1:12" ht="54" x14ac:dyDescent="0.25">
      <c r="A20" s="11" cm="1">
        <f t="array" ref="A20">ROW(A20:A20)-3</f>
        <v>17</v>
      </c>
      <c r="B20" s="45" t="s">
        <v>151</v>
      </c>
      <c r="C20" s="11" t="s">
        <v>12</v>
      </c>
      <c r="D20" s="11">
        <v>1136914</v>
      </c>
      <c r="E20" s="33" t="s">
        <v>51</v>
      </c>
      <c r="F20" s="12" t="s">
        <v>63</v>
      </c>
      <c r="G20" s="34">
        <v>3977887</v>
      </c>
      <c r="H20" s="33" t="s">
        <v>91</v>
      </c>
      <c r="I20" s="33" t="s">
        <v>152</v>
      </c>
      <c r="J20" s="33" t="s">
        <v>153</v>
      </c>
      <c r="K20" s="33" t="s">
        <v>154</v>
      </c>
      <c r="L20" s="11" t="s">
        <v>52</v>
      </c>
    </row>
    <row r="21" spans="1:12" ht="54" x14ac:dyDescent="0.25">
      <c r="A21" s="11" cm="1">
        <f t="array" ref="A21">ROW(A21:A21)-3</f>
        <v>18</v>
      </c>
      <c r="B21" s="45" t="s">
        <v>155</v>
      </c>
      <c r="C21" s="11" t="s">
        <v>86</v>
      </c>
      <c r="D21" s="11">
        <v>1137947</v>
      </c>
      <c r="E21" s="33" t="s">
        <v>51</v>
      </c>
      <c r="F21" s="33" t="s">
        <v>77</v>
      </c>
      <c r="G21" s="34">
        <v>2900332</v>
      </c>
      <c r="H21" s="33" t="s">
        <v>92</v>
      </c>
      <c r="I21" s="33" t="s">
        <v>108</v>
      </c>
      <c r="J21" s="33" t="s">
        <v>156</v>
      </c>
      <c r="K21" s="33" t="s">
        <v>157</v>
      </c>
      <c r="L21" s="11" t="s">
        <v>52</v>
      </c>
    </row>
    <row r="22" spans="1:12" ht="54" x14ac:dyDescent="0.25">
      <c r="A22" s="11" cm="1">
        <f t="array" ref="A22">ROW(A22:A22)-3</f>
        <v>19</v>
      </c>
      <c r="B22" s="45" t="s">
        <v>158</v>
      </c>
      <c r="C22" s="11" t="s">
        <v>46</v>
      </c>
      <c r="D22" s="11">
        <v>1141581</v>
      </c>
      <c r="E22" s="33" t="s">
        <v>51</v>
      </c>
      <c r="F22" s="12" t="s">
        <v>64</v>
      </c>
      <c r="G22" s="34">
        <v>1901231</v>
      </c>
      <c r="H22" s="33" t="s">
        <v>88</v>
      </c>
      <c r="I22" s="33" t="s">
        <v>108</v>
      </c>
      <c r="J22" s="33" t="s">
        <v>159</v>
      </c>
      <c r="K22" s="33" t="s">
        <v>83</v>
      </c>
      <c r="L22" s="11" t="s">
        <v>52</v>
      </c>
    </row>
    <row r="23" spans="1:12" ht="54" x14ac:dyDescent="0.25">
      <c r="A23" s="11" cm="1">
        <f t="array" ref="A23">ROW(A23:A23)-3</f>
        <v>20</v>
      </c>
      <c r="B23" s="45" t="s">
        <v>160</v>
      </c>
      <c r="C23" s="16" t="s">
        <v>24</v>
      </c>
      <c r="D23" s="11">
        <v>1128646</v>
      </c>
      <c r="E23" s="33" t="s">
        <v>51</v>
      </c>
      <c r="F23" s="11" t="s">
        <v>113</v>
      </c>
      <c r="G23" s="34">
        <v>1198971</v>
      </c>
      <c r="H23" s="33" t="s">
        <v>91</v>
      </c>
      <c r="I23" s="33" t="s">
        <v>152</v>
      </c>
      <c r="J23" s="33" t="s">
        <v>162</v>
      </c>
      <c r="K23" s="33" t="s">
        <v>161</v>
      </c>
      <c r="L23" s="11" t="s">
        <v>52</v>
      </c>
    </row>
    <row r="24" spans="1:12" ht="54" x14ac:dyDescent="0.25">
      <c r="A24" s="11" cm="1">
        <f t="array" ref="A24">ROW(A24:A24)-3</f>
        <v>21</v>
      </c>
      <c r="B24" s="45" t="s">
        <v>163</v>
      </c>
      <c r="C24" s="11" t="s">
        <v>32</v>
      </c>
      <c r="D24" s="11">
        <v>1137771</v>
      </c>
      <c r="E24" s="33" t="s">
        <v>51</v>
      </c>
      <c r="F24" s="12" t="s">
        <v>84</v>
      </c>
      <c r="G24" s="34">
        <v>1171633</v>
      </c>
      <c r="H24" s="33" t="s">
        <v>91</v>
      </c>
      <c r="I24" s="33" t="s">
        <v>152</v>
      </c>
      <c r="J24" s="33" t="s">
        <v>164</v>
      </c>
      <c r="K24" s="33" t="s">
        <v>165</v>
      </c>
      <c r="L24" s="11" t="s">
        <v>52</v>
      </c>
    </row>
    <row r="25" spans="1:12" ht="36" x14ac:dyDescent="0.25">
      <c r="A25" s="11" cm="1">
        <f t="array" ref="A25">ROW(A25:A25)-3</f>
        <v>22</v>
      </c>
      <c r="B25" s="45" t="s">
        <v>166</v>
      </c>
      <c r="C25" s="11" t="s">
        <v>23</v>
      </c>
      <c r="D25" s="11" t="s">
        <v>167</v>
      </c>
      <c r="E25" s="33" t="s">
        <v>171</v>
      </c>
      <c r="F25" s="48" t="s">
        <v>168</v>
      </c>
      <c r="G25" s="34">
        <v>2746123</v>
      </c>
      <c r="H25" s="33" t="s">
        <v>92</v>
      </c>
      <c r="I25" s="33" t="s">
        <v>169</v>
      </c>
      <c r="J25" s="33" t="s">
        <v>170</v>
      </c>
      <c r="K25" s="46" t="s">
        <v>71</v>
      </c>
      <c r="L25" s="11" t="s">
        <v>18</v>
      </c>
    </row>
    <row r="26" spans="1:12" ht="30" customHeight="1" thickBot="1" x14ac:dyDescent="0.25">
      <c r="B26" s="37" t="s">
        <v>172</v>
      </c>
      <c r="C26" s="31"/>
      <c r="D26" s="32"/>
      <c r="J26" s="28"/>
      <c r="K26" s="26"/>
      <c r="L26" s="26"/>
    </row>
    <row r="27" spans="1:12" x14ac:dyDescent="0.25">
      <c r="K27" s="24" t="s">
        <v>48</v>
      </c>
    </row>
    <row r="28" spans="1:12" x14ac:dyDescent="0.25">
      <c r="K28" s="25" t="s">
        <v>49</v>
      </c>
    </row>
    <row r="29" spans="1:12" ht="20.25" thickBot="1" x14ac:dyDescent="0.3">
      <c r="K29" s="27" t="s">
        <v>50</v>
      </c>
    </row>
  </sheetData>
  <mergeCells count="2">
    <mergeCell ref="A2:L2"/>
    <mergeCell ref="A1:L1"/>
  </mergeCells>
  <phoneticPr fontId="6" type="noConversion"/>
  <dataValidations count="1">
    <dataValidation type="list" allowBlank="1" showInputMessage="1" showErrorMessage="1" sqref="D3" xr:uid="{00000000-0002-0000-0000-000000000000}">
      <formula1>$D$3:$D$167</formula1>
    </dataValidation>
  </dataValidations>
  <hyperlinks>
    <hyperlink ref="K28" r:id="rId1" xr:uid="{00000000-0004-0000-0000-000000000000}"/>
    <hyperlink ref="K29" r:id="rId2" xr:uid="{00000000-0004-0000-0000-000001000000}"/>
  </hyperlinks>
  <pageMargins left="0.7" right="0.7" top="0.75" bottom="0.75" header="0.3" footer="0.3"/>
  <pageSetup paperSize="9" scale="35" fitToHeight="0" orientation="landscape" r:id="rId3"/>
  <drawing r:id="rId4"/>
  <legacyDrawing r:id="rId5"/>
  <controls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3</xdr:col>
                <xdr:colOff>209550</xdr:colOff>
                <xdr:row>3</xdr:row>
                <xdr:rowOff>0</xdr:rowOff>
              </from>
              <to>
                <xdr:col>3</xdr:col>
                <xdr:colOff>333375</xdr:colOff>
                <xdr:row>3</xdr:row>
                <xdr:rowOff>133350</xdr:rowOff>
              </to>
            </anchor>
          </controlPr>
        </control>
      </mc:Choice>
      <mc:Fallback>
        <control shapeId="1025" r:id="rId6" name="Control 1"/>
      </mc:Fallback>
    </mc:AlternateContent>
    <mc:AlternateContent xmlns:mc="http://schemas.openxmlformats.org/markup-compatibility/2006">
      <mc:Choice Requires="x14">
        <control shapeId="1026" r:id="rId8" name="Control 2">
          <controlPr defaultSize="0" r:id="rId9">
            <anchor moveWithCells="1">
              <from>
                <xdr:col>3</xdr:col>
                <xdr:colOff>209550</xdr:colOff>
                <xdr:row>3</xdr:row>
                <xdr:rowOff>0</xdr:rowOff>
              </from>
              <to>
                <xdr:col>3</xdr:col>
                <xdr:colOff>333375</xdr:colOff>
                <xdr:row>3</xdr:row>
                <xdr:rowOff>133350</xdr:rowOff>
              </to>
            </anchor>
          </controlPr>
        </control>
      </mc:Choice>
      <mc:Fallback>
        <control shapeId="1026" r:id="rId8" name="Control 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"/>
  <sheetViews>
    <sheetView rightToLeft="1" zoomScale="110" zoomScaleNormal="110" workbookViewId="0">
      <selection activeCell="A3" sqref="A3"/>
    </sheetView>
  </sheetViews>
  <sheetFormatPr defaultRowHeight="18" x14ac:dyDescent="0.25"/>
  <cols>
    <col min="1" max="1" width="30.140625" style="15" bestFit="1" customWidth="1"/>
    <col min="2" max="2" width="5.5703125" style="1" bestFit="1" customWidth="1"/>
    <col min="3" max="3" width="15.42578125" style="19" bestFit="1" customWidth="1"/>
    <col min="4" max="16384" width="9.140625" style="15"/>
  </cols>
  <sheetData>
    <row r="1" spans="1:3" ht="19.5" x14ac:dyDescent="0.25">
      <c r="A1" s="51" t="s">
        <v>35</v>
      </c>
      <c r="B1" s="51"/>
      <c r="C1" s="51"/>
    </row>
    <row r="2" spans="1:3" x14ac:dyDescent="0.25">
      <c r="A2" s="11"/>
      <c r="B2" s="11" t="s">
        <v>13</v>
      </c>
      <c r="C2" s="13" t="s">
        <v>17</v>
      </c>
    </row>
    <row r="3" spans="1:3" x14ac:dyDescent="0.25">
      <c r="A3" s="11" t="s">
        <v>46</v>
      </c>
      <c r="B3" s="12">
        <f>COUNTIF(مناقصات!C4:C1933,"فنی-مهندسی نفت‌وگاز")</f>
        <v>3</v>
      </c>
      <c r="C3" s="34">
        <f>SUMIF(مناقصات!C4:C9865,"فنی-مهندسی نفت‌وگاز",مناقصات!G4:G9865)</f>
        <v>32516227</v>
      </c>
    </row>
    <row r="4" spans="1:3" x14ac:dyDescent="0.25">
      <c r="A4" s="11" t="s">
        <v>21</v>
      </c>
      <c r="B4" s="12">
        <f>COUNTIF(مناقصات!C4:C1933,"فنی-مهندسی برق")</f>
        <v>0</v>
      </c>
      <c r="C4" s="34">
        <f>SUMIF(مناقصات!C4:C9865,"فنی-مهندسی برق",مناقصات!G4:G9865)</f>
        <v>0</v>
      </c>
    </row>
    <row r="5" spans="1:3" x14ac:dyDescent="0.25">
      <c r="A5" s="16" t="s">
        <v>22</v>
      </c>
      <c r="B5" s="12">
        <f>COUNTIF(مناقصات!C4:C1933,"فنی-مهندسی راه‌آهن")</f>
        <v>0</v>
      </c>
      <c r="C5" s="34">
        <f>SUMIF(مناقصات!C4:C9865,"فنی-مهندسی راه‌آهن",مناقصات!G4:G9865)</f>
        <v>0</v>
      </c>
    </row>
    <row r="6" spans="1:3" x14ac:dyDescent="0.25">
      <c r="A6" s="16" t="s">
        <v>40</v>
      </c>
      <c r="B6" s="12">
        <f>COUNTIF(مناقصات!C4:C1933,"فنی-مهندسی گرمایش و سرمایش")</f>
        <v>0</v>
      </c>
      <c r="C6" s="34">
        <f>SUMIF(مناقصات!C4:C9865,"فنی-مهندسی گرمایش و سرمایش",مناقصات!G4:G9865)</f>
        <v>0</v>
      </c>
    </row>
    <row r="7" spans="1:3" x14ac:dyDescent="0.25">
      <c r="A7" s="11" t="s">
        <v>29</v>
      </c>
      <c r="B7" s="12">
        <f>COUNTIF(مناقصات!C4:C1933,"فنی-مهندسی ارتباطات و فناوری اطلاعات")</f>
        <v>0</v>
      </c>
      <c r="C7" s="34">
        <f>SUMIF(مناقصات!C4:C9865,"فنی-مهندسی ارتباطات و فناوری اطلاعات",مناقصات!G4:G9865)</f>
        <v>0</v>
      </c>
    </row>
    <row r="8" spans="1:3" x14ac:dyDescent="0.25">
      <c r="A8" s="11" t="s">
        <v>30</v>
      </c>
      <c r="B8" s="12">
        <f>COUNTIF(مناقصات!C4:C1933,"فنی-مهندسی فضای سبز")</f>
        <v>0</v>
      </c>
      <c r="C8" s="34">
        <f>SUMIF(مناقصات!C4:C9865,"فنی-مهندسی فضای سبز",مناقصات!G4:G9865)</f>
        <v>0</v>
      </c>
    </row>
    <row r="9" spans="1:3" x14ac:dyDescent="0.25">
      <c r="A9" s="11" t="s">
        <v>26</v>
      </c>
      <c r="B9" s="12">
        <f>COUNTIF(مناقصات!C4:C1934,"فنی-مهندسی معدن")</f>
        <v>2</v>
      </c>
      <c r="C9" s="34">
        <f>SUMIF(مناقصات!C4:C9866,"فنی-مهندسی معدن",مناقصات!G4:G9866)</f>
        <v>3772226</v>
      </c>
    </row>
    <row r="10" spans="1:3" x14ac:dyDescent="0.25">
      <c r="A10" s="11" t="s">
        <v>36</v>
      </c>
      <c r="B10" s="12">
        <f>COUNTIF(مناقصات!C4:C1935,"فنی-مهندسی کشاورزی")</f>
        <v>0</v>
      </c>
      <c r="C10" s="34">
        <f>SUMIF(مناقصات!C4:C9867,"فنی-مهندسی کشاورزی",مناقصات!G4:G9867)</f>
        <v>0</v>
      </c>
    </row>
    <row r="11" spans="1:3" x14ac:dyDescent="0.25">
      <c r="A11" s="11" t="s">
        <v>45</v>
      </c>
      <c r="B11" s="12">
        <f>COUNTIF(مناقصات!C4:C1936,"فنی-مهندسی هواپیمایی کشوری")</f>
        <v>0</v>
      </c>
      <c r="C11" s="34">
        <f>SUMIF(مناقصات!C4:C9868,"فنی-مهندسی هواپیمایی کشوری",مناقصات!G4:G9868)</f>
        <v>0</v>
      </c>
    </row>
    <row r="12" spans="1:3" x14ac:dyDescent="0.25">
      <c r="A12" s="11" t="s">
        <v>85</v>
      </c>
      <c r="B12" s="12">
        <f>COUNTIF(مناقصات!C4:C1937,"فنی-مهندسی مکانیک")</f>
        <v>0</v>
      </c>
      <c r="C12" s="34">
        <f>SUMIF(مناقصات!C4:C9869,"فنی-مهندسی مکانیک",مناقصات!G4:G9869)</f>
        <v>0</v>
      </c>
    </row>
    <row r="13" spans="1:3" x14ac:dyDescent="0.25">
      <c r="A13" s="11" t="s">
        <v>28</v>
      </c>
      <c r="B13" s="12">
        <f>COUNTIF(مناقصات!C26:C1936,"بازسازی ابنیه تاریخی")</f>
        <v>0</v>
      </c>
      <c r="C13" s="34">
        <f>SUMIF(مناقصات!C4:C9868,"بازسازی ابنیه تاریخی",مناقصات!G4:G9868)</f>
        <v>0</v>
      </c>
    </row>
    <row r="14" spans="1:3" s="3" customFormat="1" ht="19.5" x14ac:dyDescent="0.25">
      <c r="A14" s="17" t="s">
        <v>37</v>
      </c>
      <c r="B14" s="21">
        <f>SUM(B3:B13)</f>
        <v>5</v>
      </c>
      <c r="C14" s="35">
        <f>SUM(C3:C13)</f>
        <v>36288453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rightToLeft="1" zoomScale="110" zoomScaleNormal="110" workbookViewId="0">
      <selection activeCell="A11" sqref="A11"/>
    </sheetView>
  </sheetViews>
  <sheetFormatPr defaultRowHeight="15" x14ac:dyDescent="0.25"/>
  <cols>
    <col min="1" max="1" width="23.7109375" style="15" bestFit="1" customWidth="1"/>
    <col min="2" max="2" width="5.28515625" style="15" bestFit="1" customWidth="1"/>
    <col min="3" max="3" width="14.140625" style="15" bestFit="1" customWidth="1"/>
    <col min="4" max="16384" width="9.140625" style="15"/>
  </cols>
  <sheetData>
    <row r="1" spans="1:3" ht="19.5" x14ac:dyDescent="0.25">
      <c r="A1" s="51" t="s">
        <v>34</v>
      </c>
      <c r="B1" s="51"/>
      <c r="C1" s="51"/>
    </row>
    <row r="2" spans="1:3" s="20" customFormat="1" ht="19.5" x14ac:dyDescent="0.25">
      <c r="A2" s="18"/>
      <c r="B2" s="18" t="s">
        <v>13</v>
      </c>
      <c r="C2" s="18" t="s">
        <v>17</v>
      </c>
    </row>
    <row r="3" spans="1:3" ht="18" x14ac:dyDescent="0.25">
      <c r="A3" s="11" t="s">
        <v>32</v>
      </c>
      <c r="B3" s="12">
        <f>COUNTIF(مناقصات!C4:C1933,"تعمیرات بزرگراه، خیابان و جاده")</f>
        <v>5</v>
      </c>
      <c r="C3" s="12">
        <f>SUMIF(مناقصات!C4:C828,"تعمیرات بزرگراه، خیابان و جاده",مناقصات!G4:G828)</f>
        <v>23351524</v>
      </c>
    </row>
    <row r="4" spans="1:3" ht="18" x14ac:dyDescent="0.25">
      <c r="A4" s="11" t="s">
        <v>31</v>
      </c>
      <c r="B4" s="12">
        <f>COUNTIF(مناقصات!C4:C1933,"ساخت بزرگراه، خیابان و جاده")</f>
        <v>0</v>
      </c>
      <c r="C4" s="12">
        <f>SUMIF(مناقصات!C4:C829,"ساخت بزرگراه، خیابان و جاده",مناقصات!G4:G829)</f>
        <v>0</v>
      </c>
    </row>
    <row r="5" spans="1:3" ht="18" x14ac:dyDescent="0.25">
      <c r="A5" s="11" t="s">
        <v>25</v>
      </c>
      <c r="B5" s="12">
        <f>COUNTIF(مناقصات!C4:C1934,"گازرسانی")</f>
        <v>0</v>
      </c>
      <c r="C5" s="12">
        <f>SUMIF(مناقصات!C4:C830,"گازرسانی",مناقصات!G4:G830)</f>
        <v>0</v>
      </c>
    </row>
    <row r="6" spans="1:3" ht="18" x14ac:dyDescent="0.25">
      <c r="A6" s="11" t="s">
        <v>68</v>
      </c>
      <c r="B6" s="12">
        <f>COUNTIF(مناقصات!C4:C1934,"برق‌رسانی")</f>
        <v>0</v>
      </c>
      <c r="C6" s="12">
        <f>SUMIF(مناقصات!C4:C830,"برق‌رسانی",مناقصات!G4:G830)</f>
        <v>0</v>
      </c>
    </row>
    <row r="7" spans="1:3" ht="18" x14ac:dyDescent="0.25">
      <c r="A7" s="11" t="s">
        <v>47</v>
      </c>
      <c r="B7" s="12">
        <f>COUNTIF(مناقصات!C4:C1935,"آب‌وآبفا")</f>
        <v>2</v>
      </c>
      <c r="C7" s="12">
        <f>SUMIF(مناقصات!C4:C831,"آب‌وآبفا",مناقصات!G4:G831)</f>
        <v>35922120</v>
      </c>
    </row>
    <row r="8" spans="1:3" ht="18" x14ac:dyDescent="0.25">
      <c r="A8" s="11" t="s">
        <v>86</v>
      </c>
      <c r="B8" s="12">
        <f>COUNTIF(مناقصات!C4:C1936,"ساخت زیرساخت شهرسازی")</f>
        <v>1</v>
      </c>
      <c r="C8" s="12">
        <f>SUMIF(مناقصات!C4:C832,"ساخت زیرساخت شهرسازی",مناقصات!G4:G832)</f>
        <v>2900332</v>
      </c>
    </row>
    <row r="9" spans="1:3" ht="18" x14ac:dyDescent="0.25">
      <c r="A9" s="11" t="s">
        <v>19</v>
      </c>
      <c r="B9" s="12">
        <f>COUNTIF(مناقصات!C4:C1933,"انبوه‌سازی مسکن")</f>
        <v>0</v>
      </c>
      <c r="C9" s="12">
        <f>SUMIF(مناقصات!C4:C830,"انبوه‌سازی مسکن",مناقصات!G4:G830)</f>
        <v>0</v>
      </c>
    </row>
    <row r="10" spans="1:3" ht="18" x14ac:dyDescent="0.25">
      <c r="A10" s="11" t="s">
        <v>74</v>
      </c>
      <c r="B10" s="12">
        <f>COUNTIF(مناقصات!C4:C1934,"تعمیرات ابنیه/ساختار مسکونی")</f>
        <v>0</v>
      </c>
      <c r="C10" s="12">
        <f>SUMIF(مناقصات!C4:C831,"تعمیرات ابنیه/ساختار مسکونی",مناقصات!G4:G831)</f>
        <v>0</v>
      </c>
    </row>
    <row r="11" spans="1:3" ht="18" x14ac:dyDescent="0.25">
      <c r="A11" s="11" t="s">
        <v>23</v>
      </c>
      <c r="B11" s="12">
        <f>COUNTIF(مناقصات!C4:C1933,"ساخت ابنیه/ساختار غیرمسکونی")</f>
        <v>1</v>
      </c>
      <c r="C11" s="12">
        <f>SUMIF(مناقصات!C4:C828,"ساخت ابنیه/ساختار غیرمسکونی",مناقصات!G4:G828)</f>
        <v>2746123</v>
      </c>
    </row>
    <row r="12" spans="1:3" ht="18" x14ac:dyDescent="0.25">
      <c r="A12" s="16" t="s">
        <v>24</v>
      </c>
      <c r="B12" s="12">
        <f>COUNTIF(مناقصات!C4:C1933,"تعمیرات ابنیه/ساختار غیرمسکونی")</f>
        <v>3</v>
      </c>
      <c r="C12" s="12">
        <f>SUMIF(مناقصات!C4:C829,"تعمیرات ابنیه/ساختار غیرمسکونی",مناقصات!G4:G829)</f>
        <v>5279971</v>
      </c>
    </row>
    <row r="13" spans="1:3" s="20" customFormat="1" ht="19.5" x14ac:dyDescent="0.25">
      <c r="A13" s="18" t="s">
        <v>39</v>
      </c>
      <c r="B13" s="21">
        <f>SUM(B3:B12)</f>
        <v>12</v>
      </c>
      <c r="C13" s="21">
        <f>SUM(C3:C12)</f>
        <v>70200070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rightToLeft="1" workbookViewId="0">
      <selection activeCell="A3" sqref="A3:A6"/>
    </sheetView>
  </sheetViews>
  <sheetFormatPr defaultRowHeight="15" x14ac:dyDescent="0.25"/>
  <cols>
    <col min="1" max="1" width="28.42578125" style="15" bestFit="1" customWidth="1"/>
    <col min="2" max="2" width="4.28515625" style="15" bestFit="1" customWidth="1"/>
    <col min="3" max="3" width="12" style="15" bestFit="1" customWidth="1"/>
    <col min="4" max="16384" width="9.140625" style="15"/>
  </cols>
  <sheetData>
    <row r="1" spans="1:3" ht="19.5" x14ac:dyDescent="0.25">
      <c r="A1" s="51" t="s">
        <v>38</v>
      </c>
      <c r="B1" s="51"/>
      <c r="C1" s="51"/>
    </row>
    <row r="2" spans="1:3" ht="18" x14ac:dyDescent="0.25">
      <c r="A2" s="11"/>
      <c r="B2" s="11" t="s">
        <v>13</v>
      </c>
      <c r="C2" s="11" t="s">
        <v>17</v>
      </c>
    </row>
    <row r="3" spans="1:3" ht="18" x14ac:dyDescent="0.25">
      <c r="A3" s="11" t="s">
        <v>20</v>
      </c>
      <c r="B3" s="12">
        <f>COUNTIF(مناقصات!C4:C1933,"خدمات حمل‌ونقل")</f>
        <v>0</v>
      </c>
      <c r="C3" s="12">
        <f>SUMIF(مناقصات!C4:C828,"خدمات حمل‌ونقل",مناقصات!G4:G828)</f>
        <v>0</v>
      </c>
    </row>
    <row r="4" spans="1:3" ht="18" x14ac:dyDescent="0.25">
      <c r="A4" s="11" t="s">
        <v>41</v>
      </c>
      <c r="B4" s="12">
        <f>COUNTIF(مناقصات!C4:C1933,"خدمات نظافت خیابان و ساختمان")</f>
        <v>0</v>
      </c>
      <c r="C4" s="12">
        <f>SUMIF(مناقصات!C26:C829,"خدمات نظافت خیابان و ساختمان",مناقصات!G26:G829)</f>
        <v>0</v>
      </c>
    </row>
    <row r="5" spans="1:3" ht="18" x14ac:dyDescent="0.25">
      <c r="A5" s="11" t="s">
        <v>42</v>
      </c>
      <c r="B5" s="12">
        <f>COUNTIF(مناقصات!C26:C1934,"خدمات شهری")</f>
        <v>0</v>
      </c>
      <c r="C5" s="12">
        <f>SUMIF(مناقصات!C26:C830,"خدمات شهری",مناقصات!G26:G830)</f>
        <v>0</v>
      </c>
    </row>
    <row r="6" spans="1:3" ht="18" x14ac:dyDescent="0.25">
      <c r="A6" s="11" t="s">
        <v>27</v>
      </c>
      <c r="B6" s="12">
        <f>COUNTIF(مناقصات!C26:C1935,"خدمات کترینگ")</f>
        <v>0</v>
      </c>
      <c r="C6" s="12">
        <f>SUMIF(مناقصات!C26:C831,"خدمات کترینگ",مناقصات!G26:G831)</f>
        <v>0</v>
      </c>
    </row>
    <row r="7" spans="1:3" ht="19.5" x14ac:dyDescent="0.25">
      <c r="A7" s="18" t="s">
        <v>39</v>
      </c>
      <c r="B7" s="21">
        <f>SUM(B3:B6)</f>
        <v>0</v>
      </c>
      <c r="C7" s="21">
        <f>SUM(C3:C6)</f>
        <v>0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"/>
  <sheetViews>
    <sheetView rightToLeft="1" workbookViewId="0">
      <selection activeCell="G29" sqref="G29"/>
    </sheetView>
  </sheetViews>
  <sheetFormatPr defaultRowHeight="15" x14ac:dyDescent="0.25"/>
  <cols>
    <col min="1" max="1" width="9" style="15" bestFit="1" customWidth="1"/>
    <col min="2" max="2" width="4.28515625" style="15" bestFit="1" customWidth="1"/>
    <col min="3" max="3" width="13.42578125" style="15" bestFit="1" customWidth="1"/>
    <col min="4" max="16384" width="9.140625" style="15"/>
  </cols>
  <sheetData>
    <row r="1" spans="1:3" ht="19.5" x14ac:dyDescent="0.25">
      <c r="A1" s="51" t="s">
        <v>33</v>
      </c>
      <c r="B1" s="51"/>
      <c r="C1" s="51"/>
    </row>
    <row r="2" spans="1:3" ht="18" x14ac:dyDescent="0.25">
      <c r="A2" s="11"/>
      <c r="B2" s="11" t="s">
        <v>13</v>
      </c>
      <c r="C2" s="11" t="s">
        <v>17</v>
      </c>
    </row>
    <row r="3" spans="1:3" s="20" customFormat="1" ht="19.5" x14ac:dyDescent="0.25">
      <c r="A3" s="17" t="s">
        <v>12</v>
      </c>
      <c r="B3" s="21">
        <f>COUNTIF(مناقصات!C4:C1933,"خرید اقلام")</f>
        <v>5</v>
      </c>
      <c r="C3" s="21">
        <f>SUMIF(مناقصات!C4:C1933,"خرید اقلام",مناقصات!G4:G1933)</f>
        <v>14848601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rightToLeft="1" workbookViewId="0">
      <selection activeCell="B7" sqref="B7"/>
    </sheetView>
  </sheetViews>
  <sheetFormatPr defaultRowHeight="15" x14ac:dyDescent="0.25"/>
  <cols>
    <col min="1" max="1" width="14" bestFit="1" customWidth="1"/>
    <col min="2" max="2" width="6.42578125" bestFit="1" customWidth="1"/>
    <col min="3" max="3" width="14.5703125" bestFit="1" customWidth="1"/>
  </cols>
  <sheetData>
    <row r="1" spans="1:3" ht="19.5" x14ac:dyDescent="0.5">
      <c r="A1" s="52" t="s">
        <v>15</v>
      </c>
      <c r="B1" s="52"/>
      <c r="C1" s="52"/>
    </row>
    <row r="2" spans="1:3" ht="18" x14ac:dyDescent="0.25">
      <c r="A2" s="11"/>
      <c r="B2" s="11" t="s">
        <v>13</v>
      </c>
      <c r="C2" s="11" t="s">
        <v>17</v>
      </c>
    </row>
    <row r="3" spans="1:3" ht="18" x14ac:dyDescent="0.25">
      <c r="A3" s="11" t="s">
        <v>14</v>
      </c>
      <c r="B3" s="12">
        <f>SUM('آمار فنی-مهندسی'!B14)</f>
        <v>5</v>
      </c>
      <c r="C3" s="12">
        <f>SUM('آمار فنی-مهندسی'!C14)</f>
        <v>36288453</v>
      </c>
    </row>
    <row r="4" spans="1:3" ht="18" x14ac:dyDescent="0.25">
      <c r="A4" s="11" t="s">
        <v>43</v>
      </c>
      <c r="B4" s="12">
        <f>SUM('آمار عمرانی'!B13)</f>
        <v>12</v>
      </c>
      <c r="C4" s="12">
        <f>SUM('آمار عمرانی'!C13)</f>
        <v>70200070</v>
      </c>
    </row>
    <row r="5" spans="1:3" ht="18" x14ac:dyDescent="0.25">
      <c r="A5" s="11" t="s">
        <v>44</v>
      </c>
      <c r="B5" s="12">
        <f>SUM('آمار خدمات'!B7)</f>
        <v>0</v>
      </c>
      <c r="C5" s="12">
        <f>SUM('آمار خدمات'!C7)</f>
        <v>0</v>
      </c>
    </row>
    <row r="6" spans="1:3" ht="18" x14ac:dyDescent="0.25">
      <c r="A6" s="11" t="s">
        <v>12</v>
      </c>
      <c r="B6" s="12">
        <f>SUM('خرید اقلام'!B3)</f>
        <v>5</v>
      </c>
      <c r="C6" s="12">
        <f>SUM('خرید اقلام'!C3)</f>
        <v>14848601</v>
      </c>
    </row>
    <row r="7" spans="1:3" s="22" customFormat="1" ht="19.5" x14ac:dyDescent="0.25">
      <c r="A7" s="18" t="s">
        <v>16</v>
      </c>
      <c r="B7" s="21">
        <f>SUM(B3:B6)</f>
        <v>22</v>
      </c>
      <c r="C7" s="21">
        <f>SUM(C3:C6)</f>
        <v>121337124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مناقصات</vt:lpstr>
      <vt:lpstr>آمار فنی-مهندسی</vt:lpstr>
      <vt:lpstr>آمار عمرانی</vt:lpstr>
      <vt:lpstr>آمار خدمات</vt:lpstr>
      <vt:lpstr>خرید اقلام</vt:lpstr>
      <vt:lpstr>آمار کل</vt:lpstr>
    </vt:vector>
  </TitlesOfParts>
  <Company>Win2Farsi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Administrator</cp:lastModifiedBy>
  <cp:lastPrinted>2024-05-30T06:52:00Z</cp:lastPrinted>
  <dcterms:created xsi:type="dcterms:W3CDTF">2024-03-06T10:44:36Z</dcterms:created>
  <dcterms:modified xsi:type="dcterms:W3CDTF">2025-08-16T04:13:26Z</dcterms:modified>
</cp:coreProperties>
</file>